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gion0\RIO\Public\Grants\2023 Culverts\Midcoast\2. Draft application\"/>
    </mc:Choice>
  </mc:AlternateContent>
  <xr:revisionPtr revIDLastSave="0" documentId="14_{C88E9D7B-8759-4CEE-8A59-49CFDD25A01F}" xr6:coauthVersionLast="47" xr6:coauthVersionMax="47" xr10:uidLastSave="{00000000-0000-0000-0000-000000000000}"/>
  <bookViews>
    <workbookView xWindow="-108" yWindow="-108" windowWidth="23256" windowHeight="12576" xr2:uid="{65268E2B-A03D-44A7-96DC-03A0CC5D22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M7" i="1"/>
  <c r="N7" i="1" s="1"/>
  <c r="M6" i="1"/>
  <c r="Q6" i="1" s="1"/>
  <c r="M5" i="1"/>
  <c r="Q5" i="1" s="1"/>
  <c r="M4" i="1"/>
  <c r="Q4" i="1" s="1"/>
  <c r="M3" i="1"/>
  <c r="Q3" i="1" s="1"/>
  <c r="G9" i="1"/>
  <c r="K7" i="1"/>
  <c r="K6" i="1"/>
  <c r="K5" i="1"/>
  <c r="K4" i="1"/>
  <c r="K3" i="1"/>
  <c r="H9" i="1"/>
  <c r="I7" i="1"/>
  <c r="F7" i="1"/>
  <c r="I6" i="1"/>
  <c r="F6" i="1"/>
  <c r="I5" i="1"/>
  <c r="I4" i="1"/>
  <c r="I3" i="1"/>
  <c r="N5" i="1" l="1"/>
  <c r="N4" i="1"/>
  <c r="N3" i="1"/>
  <c r="Q7" i="1"/>
  <c r="N6" i="1"/>
  <c r="F9" i="1"/>
  <c r="L7" i="1"/>
  <c r="L6" i="1"/>
  <c r="L4" i="1"/>
  <c r="L5" i="1"/>
  <c r="I9" i="1"/>
  <c r="N9" i="1" l="1"/>
  <c r="Q9" i="1"/>
  <c r="M9" i="1"/>
  <c r="L3" i="1"/>
  <c r="L9" i="1" s="1"/>
  <c r="K9" i="1"/>
</calcChain>
</file>

<file path=xl/sharedStrings.xml><?xml version="1.0" encoding="utf-8"?>
<sst xmlns="http://schemas.openxmlformats.org/spreadsheetml/2006/main" count="45" uniqueCount="40">
  <si>
    <t>Bundle ID</t>
  </si>
  <si>
    <t>Stream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</si>
  <si>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</si>
  <si>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MaineDOT Asset ID</t>
  </si>
  <si>
    <t>Town</t>
  </si>
  <si>
    <r>
      <t>Pre-Construction Cost Estimate in 2023 Dollars</t>
    </r>
    <r>
      <rPr>
        <b/>
        <vertAlign val="superscript"/>
        <sz val="10"/>
        <color theme="1"/>
        <rFont val="Times New Roman"/>
        <family val="1"/>
      </rPr>
      <t>2</t>
    </r>
  </si>
  <si>
    <r>
      <t>Total Construction Cost Estimate in 2023 Dollars</t>
    </r>
    <r>
      <rPr>
        <b/>
        <vertAlign val="superscript"/>
        <sz val="10"/>
        <color theme="1"/>
        <rFont val="Times New Roman"/>
        <family val="1"/>
      </rPr>
      <t>3</t>
    </r>
  </si>
  <si>
    <t>Construction Contingency (10%)</t>
  </si>
  <si>
    <r>
      <t>Total Un-bundled Cost Estimate</t>
    </r>
    <r>
      <rPr>
        <b/>
        <vertAlign val="superscript"/>
        <sz val="10"/>
        <color theme="1"/>
        <rFont val="Times New Roman"/>
        <family val="1"/>
      </rPr>
      <t>4</t>
    </r>
  </si>
  <si>
    <t>Estimated Non-federal Match Amount in 2023 Dollars</t>
  </si>
  <si>
    <t>Non-federal Match %</t>
  </si>
  <si>
    <t>Match Source</t>
  </si>
  <si>
    <t>Total FY2023-2026 Culvert AOP Request</t>
  </si>
  <si>
    <t>Mid-coast</t>
  </si>
  <si>
    <t>Little Medomak Brook</t>
  </si>
  <si>
    <t>NA</t>
  </si>
  <si>
    <t>Washington</t>
  </si>
  <si>
    <t>Maine State Highway Fund</t>
  </si>
  <si>
    <t>Togus Stream</t>
  </si>
  <si>
    <t>0493</t>
  </si>
  <si>
    <t>Randolph</t>
  </si>
  <si>
    <t>Seven mile Brook</t>
  </si>
  <si>
    <t>0526</t>
  </si>
  <si>
    <t>Vassalboro</t>
  </si>
  <si>
    <t>Sheepscot River</t>
  </si>
  <si>
    <t>3831</t>
  </si>
  <si>
    <t>Montville</t>
  </si>
  <si>
    <t>Unnamed Stream</t>
  </si>
  <si>
    <t>Cushing</t>
  </si>
  <si>
    <t>TOTAL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</si>
  <si>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MSHV = Maine Stream Habitat Viewer ID (https://webapps2.cgis-solutions.com/MaineStreamViewer/).</t>
    </r>
  </si>
  <si>
    <r>
      <t xml:space="preserve">2 </t>
    </r>
    <r>
      <rPr>
        <sz val="10"/>
        <color theme="1"/>
        <rFont val="Times New Roman"/>
        <family val="1"/>
      </rPr>
      <t>Includes PE and ROW.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</si>
  <si>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Estimated project cost plus 10% based on PennDOT pilot program</t>
    </r>
  </si>
  <si>
    <t xml:space="preserve"> </t>
  </si>
  <si>
    <t>Attachment 4 - Project Costs
MaineDOT and DMR FY2023-2026 Culvert AOP Application
Mid-coast Bundle
September 16, 2024</t>
  </si>
  <si>
    <t>CE Cost</t>
  </si>
  <si>
    <r>
      <t>Total Construction Cost in 2023 Dollars</t>
    </r>
    <r>
      <rPr>
        <sz val="10"/>
        <color theme="1"/>
        <rFont val="Times New Roman"/>
        <family val="1"/>
      </rPr>
      <t xml:space="preserve"> (Bundled plus CE)</t>
    </r>
  </si>
  <si>
    <r>
      <t>3</t>
    </r>
    <r>
      <rPr>
        <sz val="10"/>
        <color theme="1"/>
        <rFont val="Times New Roman"/>
        <family val="1"/>
      </rPr>
      <t xml:space="preserve"> without contingency</t>
    </r>
  </si>
  <si>
    <t xml:space="preserve"> Total Bundled Cost Estimate in 2023 Dollars  </t>
  </si>
  <si>
    <r>
      <t>Total Un-bundled Cost Estimate in 2023 Dollars</t>
    </r>
    <r>
      <rPr>
        <b/>
        <vertAlign val="superscript"/>
        <sz val="10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</si>
</sst>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9" fontId="4" fillId="4" borderId="5" xfId="0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4" fillId="0" borderId="0" xfId="0" applyFont="1"/>
    <xf numFmtId="164" fontId="0" fillId="0" borderId="0" xfId="0" applyNumberFormat="1" applyAlignment="1">
      <alignment vertical="center" wrapText="1"/>
    </xf>
    <xf numFmtId="0" fontId="0" fillId="4" borderId="0" xfId="0" applyFill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DD21-DFEF-4CB6-B9A9-BB7AD7BDA2DA}">
  <dimension ref="A1:Q16"/>
  <sheetViews>
    <sheetView tabSelected="1" topLeftCell="D1" workbookViewId="0">
      <selection activeCell="P5" sqref="P5"/>
    </sheetView>
  </sheetViews>
  <sheetFormatPr defaultRowHeight="14.4" x14ac:dyDescent="0.3"/>
  <cols>
    <col min="1" max="1" width="9.109375" style="34" customWidth="1"/>
    <col min="2" max="2" width="16.44140625" style="34" customWidth="1"/>
    <col min="3" max="3" width="10.109375" style="34" customWidth="1"/>
    <col min="4" max="4" width="11.33203125" style="34" customWidth="1"/>
    <col min="5" max="5" width="11.44140625" style="34" customWidth="1"/>
    <col min="6" max="6" width="13.5546875" style="34" customWidth="1"/>
    <col min="7" max="7" width="16.5546875" style="25" customWidth="1"/>
    <col min="8" max="9" width="16.109375" style="34" customWidth="1"/>
    <col min="10" max="10" width="15.6640625" style="25" customWidth="1"/>
    <col min="11" max="11" width="16.5546875" style="25" customWidth="1"/>
    <col min="12" max="12" width="14.5546875" style="25" customWidth="1"/>
    <col min="13" max="13" width="16.44140625" style="25" customWidth="1"/>
    <col min="14" max="14" width="13.44140625" style="17" customWidth="1"/>
    <col min="15" max="15" width="14.44140625" style="25" customWidth="1"/>
    <col min="16" max="16" width="13" style="25" customWidth="1"/>
    <col min="17" max="17" width="16.6640625" style="25" customWidth="1"/>
    <col min="18" max="18" width="14.5546875" customWidth="1"/>
  </cols>
  <sheetData>
    <row r="1" spans="1:17" ht="57.6" customHeight="1" thickBot="1" x14ac:dyDescent="0.35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69.599999999999994" thickTop="1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43" t="s">
        <v>35</v>
      </c>
      <c r="H2" s="2" t="s">
        <v>6</v>
      </c>
      <c r="I2" s="2" t="s">
        <v>7</v>
      </c>
      <c r="J2" s="2" t="s">
        <v>38</v>
      </c>
      <c r="K2" s="2" t="s">
        <v>8</v>
      </c>
      <c r="L2" s="2" t="s">
        <v>39</v>
      </c>
      <c r="M2" s="3" t="s">
        <v>36</v>
      </c>
      <c r="N2" s="4" t="s">
        <v>9</v>
      </c>
      <c r="O2" s="2" t="s">
        <v>10</v>
      </c>
      <c r="P2" s="2" t="s">
        <v>11</v>
      </c>
      <c r="Q2" s="2" t="s">
        <v>12</v>
      </c>
    </row>
    <row r="3" spans="1:17" ht="27" thickTop="1" x14ac:dyDescent="0.3">
      <c r="A3" s="50" t="s">
        <v>13</v>
      </c>
      <c r="B3" s="5" t="s">
        <v>14</v>
      </c>
      <c r="C3" s="6" t="s">
        <v>15</v>
      </c>
      <c r="D3" s="7">
        <v>3930</v>
      </c>
      <c r="E3" s="6" t="s">
        <v>16</v>
      </c>
      <c r="F3" s="8">
        <v>500000</v>
      </c>
      <c r="G3" s="11">
        <v>250000</v>
      </c>
      <c r="H3" s="8">
        <v>2250000</v>
      </c>
      <c r="I3" s="8">
        <f>H3*0.1</f>
        <v>225000</v>
      </c>
      <c r="J3" s="9">
        <v>2500000</v>
      </c>
      <c r="K3" s="9">
        <f>J3*1.1</f>
        <v>2750000</v>
      </c>
      <c r="L3" s="10">
        <f>K3-J3</f>
        <v>250000</v>
      </c>
      <c r="M3" s="11">
        <f>J3+G3</f>
        <v>2750000</v>
      </c>
      <c r="N3" s="9">
        <f>M3*0.2</f>
        <v>550000</v>
      </c>
      <c r="O3" s="12">
        <v>0.2</v>
      </c>
      <c r="P3" s="9" t="s">
        <v>17</v>
      </c>
      <c r="Q3" s="9">
        <f>M3*0.8</f>
        <v>2200000</v>
      </c>
    </row>
    <row r="4" spans="1:17" ht="26.4" x14ac:dyDescent="0.3">
      <c r="A4" s="50"/>
      <c r="B4" s="41" t="s">
        <v>18</v>
      </c>
      <c r="C4" s="42">
        <v>15995</v>
      </c>
      <c r="D4" s="37" t="s">
        <v>19</v>
      </c>
      <c r="E4" s="42" t="s">
        <v>20</v>
      </c>
      <c r="F4" s="38">
        <v>165000</v>
      </c>
      <c r="G4" s="44">
        <v>165000</v>
      </c>
      <c r="H4" s="38">
        <v>1440000</v>
      </c>
      <c r="I4" s="38">
        <f t="shared" ref="I4:I7" si="0">H4*0.1</f>
        <v>144000</v>
      </c>
      <c r="J4" s="35">
        <v>1650000</v>
      </c>
      <c r="K4" s="35">
        <f>J4*1.1</f>
        <v>1815000.0000000002</v>
      </c>
      <c r="L4" s="39">
        <f>K4-J4</f>
        <v>165000.00000000023</v>
      </c>
      <c r="M4" s="40">
        <f>J4+G4</f>
        <v>1815000</v>
      </c>
      <c r="N4" s="9">
        <f>M4*0.2</f>
        <v>363000</v>
      </c>
      <c r="O4" s="12">
        <v>0.2</v>
      </c>
      <c r="P4" s="13" t="s">
        <v>17</v>
      </c>
      <c r="Q4" s="35">
        <f>M4*0.8</f>
        <v>1452000</v>
      </c>
    </row>
    <row r="5" spans="1:17" ht="26.4" x14ac:dyDescent="0.3">
      <c r="A5" s="50"/>
      <c r="B5" s="36" t="s">
        <v>21</v>
      </c>
      <c r="C5" s="37">
        <v>16241</v>
      </c>
      <c r="D5" s="37" t="s">
        <v>22</v>
      </c>
      <c r="E5" s="37" t="s">
        <v>23</v>
      </c>
      <c r="F5" s="38">
        <v>180000</v>
      </c>
      <c r="G5" s="44">
        <v>180000</v>
      </c>
      <c r="H5" s="38">
        <v>1620000</v>
      </c>
      <c r="I5" s="38">
        <f t="shared" si="0"/>
        <v>162000</v>
      </c>
      <c r="J5" s="35">
        <v>1800000</v>
      </c>
      <c r="K5" s="35">
        <f>J5*1.1</f>
        <v>1980000.0000000002</v>
      </c>
      <c r="L5" s="39">
        <f>K5-J5</f>
        <v>180000.00000000023</v>
      </c>
      <c r="M5" s="40">
        <f>J5+G5</f>
        <v>1980000</v>
      </c>
      <c r="N5" s="9">
        <f>M5*0.2</f>
        <v>396000</v>
      </c>
      <c r="O5" s="12">
        <v>0.2</v>
      </c>
      <c r="P5" s="13" t="s">
        <v>17</v>
      </c>
      <c r="Q5" s="35">
        <f>M5*0.8</f>
        <v>1584000</v>
      </c>
    </row>
    <row r="6" spans="1:17" ht="26.4" x14ac:dyDescent="0.3">
      <c r="A6" s="50"/>
      <c r="B6" s="14" t="s">
        <v>24</v>
      </c>
      <c r="C6" s="7" t="s">
        <v>25</v>
      </c>
      <c r="D6" s="6">
        <v>2830</v>
      </c>
      <c r="E6" s="7" t="s">
        <v>26</v>
      </c>
      <c r="F6" s="8">
        <f>ROUNDUP((H6*0.22),-2)</f>
        <v>792000</v>
      </c>
      <c r="G6" s="11">
        <v>400000</v>
      </c>
      <c r="H6" s="8">
        <v>3600000</v>
      </c>
      <c r="I6" s="8">
        <f t="shared" si="0"/>
        <v>360000</v>
      </c>
      <c r="J6" s="9">
        <v>4000000</v>
      </c>
      <c r="K6" s="9">
        <f>J6*1.1</f>
        <v>4400000</v>
      </c>
      <c r="L6" s="10">
        <f>K6-J6</f>
        <v>400000</v>
      </c>
      <c r="M6" s="11">
        <f>J6+G6</f>
        <v>4400000</v>
      </c>
      <c r="N6" s="9">
        <f>M6*0.2</f>
        <v>880000</v>
      </c>
      <c r="O6" s="15">
        <v>0.2</v>
      </c>
      <c r="P6" s="9" t="s">
        <v>17</v>
      </c>
      <c r="Q6" s="9">
        <f>M6*0.8</f>
        <v>3520000</v>
      </c>
    </row>
    <row r="7" spans="1:17" ht="26.4" x14ac:dyDescent="0.3">
      <c r="A7" s="50"/>
      <c r="B7" s="14" t="s">
        <v>27</v>
      </c>
      <c r="C7" s="6">
        <v>4514</v>
      </c>
      <c r="D7" s="6">
        <v>46566</v>
      </c>
      <c r="E7" s="7" t="s">
        <v>28</v>
      </c>
      <c r="F7" s="8">
        <f>ROUNDUP((H7*0.22),-2)</f>
        <v>550000</v>
      </c>
      <c r="G7" s="11">
        <v>250000</v>
      </c>
      <c r="H7" s="8">
        <v>2500000</v>
      </c>
      <c r="I7" s="8">
        <f t="shared" si="0"/>
        <v>250000</v>
      </c>
      <c r="J7" s="9">
        <v>2500000</v>
      </c>
      <c r="K7" s="9">
        <f>+J7*1.1</f>
        <v>2750000</v>
      </c>
      <c r="L7" s="10">
        <f>K7-J7</f>
        <v>250000</v>
      </c>
      <c r="M7" s="11">
        <f>J7+G7</f>
        <v>2750000</v>
      </c>
      <c r="N7" s="9">
        <f>M7*0.2</f>
        <v>550000</v>
      </c>
      <c r="O7" s="12">
        <v>0.2</v>
      </c>
      <c r="P7" s="9" t="s">
        <v>17</v>
      </c>
      <c r="Q7" s="9">
        <f>M7*0.8</f>
        <v>2200000</v>
      </c>
    </row>
    <row r="8" spans="1:17" ht="15" thickBot="1" x14ac:dyDescent="0.35">
      <c r="A8" s="16"/>
      <c r="B8" s="16"/>
      <c r="C8" s="16"/>
      <c r="D8" s="16"/>
      <c r="E8" s="16"/>
      <c r="F8" s="16"/>
      <c r="G8" s="17"/>
      <c r="H8" s="16"/>
      <c r="I8" s="16"/>
      <c r="J8" s="17"/>
      <c r="K8" s="17"/>
      <c r="L8" s="18"/>
      <c r="M8" s="17"/>
      <c r="O8" s="17"/>
      <c r="P8" s="17"/>
      <c r="Q8" s="17"/>
    </row>
    <row r="9" spans="1:17" ht="15.6" thickTop="1" thickBot="1" x14ac:dyDescent="0.35">
      <c r="A9" s="16"/>
      <c r="B9" s="16"/>
      <c r="C9" s="16"/>
      <c r="D9" s="16"/>
      <c r="E9" s="19" t="s">
        <v>29</v>
      </c>
      <c r="F9" s="20">
        <f t="shared" ref="F9:N9" si="1">SUM(F3:F7)</f>
        <v>2187000</v>
      </c>
      <c r="G9" s="23">
        <f>SUM(G3:G7)</f>
        <v>1245000</v>
      </c>
      <c r="H9" s="21">
        <f t="shared" si="1"/>
        <v>11410000</v>
      </c>
      <c r="I9" s="21">
        <f t="shared" si="1"/>
        <v>1141000</v>
      </c>
      <c r="J9" s="21">
        <f>SUM(J3:J7)</f>
        <v>12450000</v>
      </c>
      <c r="K9" s="21">
        <f t="shared" si="1"/>
        <v>13695000</v>
      </c>
      <c r="L9" s="22">
        <f t="shared" si="1"/>
        <v>1245000.0000000005</v>
      </c>
      <c r="M9" s="23">
        <f>SUM(M3:M7)</f>
        <v>13695000</v>
      </c>
      <c r="N9" s="21">
        <f t="shared" si="1"/>
        <v>2739000</v>
      </c>
      <c r="O9" s="24"/>
      <c r="P9" s="24"/>
      <c r="Q9" s="21">
        <f>SUM(Q3,Q4,Q5,Q6,Q7)</f>
        <v>10956000</v>
      </c>
    </row>
    <row r="10" spans="1:17" ht="14.4" customHeight="1" x14ac:dyDescent="0.3">
      <c r="A10" s="46" t="s">
        <v>30</v>
      </c>
      <c r="B10" s="46"/>
      <c r="C10" s="46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15" customHeight="1" x14ac:dyDescent="0.3">
      <c r="A11" s="48" t="s">
        <v>31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27"/>
    </row>
    <row r="12" spans="1:17" ht="15" customHeight="1" x14ac:dyDescent="0.3">
      <c r="A12" s="48" t="s">
        <v>37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28"/>
      <c r="M12" s="28"/>
      <c r="N12" s="29"/>
      <c r="O12" s="28"/>
      <c r="P12" s="28"/>
      <c r="Q12" s="28"/>
    </row>
    <row r="13" spans="1:17" ht="16.2" x14ac:dyDescent="0.3">
      <c r="A13" s="30" t="s">
        <v>32</v>
      </c>
      <c r="B13"/>
      <c r="C13"/>
      <c r="D13"/>
      <c r="E13"/>
      <c r="F13"/>
      <c r="G13" s="26"/>
      <c r="H13"/>
      <c r="I13"/>
      <c r="J13" s="26"/>
      <c r="K13" s="26"/>
      <c r="L13" s="31"/>
      <c r="M13" s="26"/>
      <c r="N13" s="32"/>
      <c r="O13" s="26" t="s">
        <v>33</v>
      </c>
      <c r="P13" s="33"/>
      <c r="Q13" s="33"/>
    </row>
    <row r="14" spans="1:17" x14ac:dyDescent="0.3">
      <c r="A14" s="30" t="s">
        <v>33</v>
      </c>
      <c r="B14"/>
      <c r="C14"/>
      <c r="D14"/>
      <c r="E14"/>
      <c r="F14"/>
      <c r="G14" s="28"/>
      <c r="H14"/>
      <c r="I14"/>
      <c r="J14" s="28"/>
      <c r="K14" s="28"/>
      <c r="L14" s="28"/>
      <c r="M14" s="28"/>
      <c r="N14" s="29"/>
      <c r="O14" s="28"/>
    </row>
    <row r="15" spans="1:17" x14ac:dyDescent="0.3">
      <c r="A15"/>
      <c r="B15"/>
      <c r="C15"/>
      <c r="D15"/>
      <c r="E15"/>
      <c r="F15"/>
      <c r="G15" s="26"/>
      <c r="H15"/>
      <c r="I15"/>
      <c r="J15" s="26"/>
      <c r="K15" s="26"/>
      <c r="L15" s="26"/>
      <c r="M15" s="26"/>
      <c r="N15" s="32"/>
      <c r="O15" s="26"/>
    </row>
    <row r="16" spans="1:17" x14ac:dyDescent="0.3">
      <c r="A16"/>
      <c r="B16"/>
      <c r="C16"/>
      <c r="D16"/>
      <c r="E16"/>
      <c r="F16" s="25"/>
      <c r="H16" s="25"/>
      <c r="I16" s="25"/>
    </row>
  </sheetData>
  <mergeCells count="5">
    <mergeCell ref="A1:Q1"/>
    <mergeCell ref="A10:Q10"/>
    <mergeCell ref="A11:K11"/>
    <mergeCell ref="A12:K12"/>
    <mergeCell ref="A3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Benny J</dc:creator>
  <cp:lastModifiedBy>Baugh, Benny J</cp:lastModifiedBy>
  <dcterms:created xsi:type="dcterms:W3CDTF">2024-09-19T12:37:45Z</dcterms:created>
  <dcterms:modified xsi:type="dcterms:W3CDTF">2024-09-19T15:35:15Z</dcterms:modified>
</cp:coreProperties>
</file>